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14B3E37B-A410-4AD3-8660-A87E783921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Смета принятая" sheetId="4" r:id="rId1"/>
    <sheet name="ФЭО принятый" sheetId="7" r:id="rId2"/>
  </sheets>
  <calcPr calcId="191028" refMode="R1C1"/>
</workbook>
</file>

<file path=xl/calcChain.xml><?xml version="1.0" encoding="utf-8"?>
<calcChain xmlns="http://schemas.openxmlformats.org/spreadsheetml/2006/main">
  <c r="I30" i="7" l="1"/>
  <c r="H30" i="7"/>
  <c r="G30" i="7"/>
  <c r="C30" i="7"/>
  <c r="F24" i="4"/>
  <c r="F25" i="4"/>
  <c r="E17" i="4"/>
  <c r="F14" i="4" l="1"/>
  <c r="G19" i="7" s="1"/>
  <c r="C20" i="7"/>
  <c r="C19" i="7"/>
  <c r="E26" i="4"/>
  <c r="F15" i="4"/>
  <c r="G20" i="7" s="1"/>
  <c r="F18" i="4"/>
  <c r="I19" i="7" l="1"/>
  <c r="H19" i="7"/>
  <c r="H20" i="7"/>
  <c r="I20" i="7"/>
  <c r="F13" i="4"/>
  <c r="L18" i="4"/>
  <c r="L12" i="4"/>
  <c r="L16" i="4"/>
  <c r="L10" i="4"/>
  <c r="L9" i="4"/>
  <c r="F8" i="4"/>
  <c r="L8" i="4"/>
  <c r="L7" i="4"/>
  <c r="L17" i="4" l="1"/>
  <c r="L11" i="4"/>
  <c r="L6" i="4" l="1"/>
  <c r="G18" i="7"/>
  <c r="H18" i="7" s="1"/>
  <c r="C18" i="7"/>
  <c r="I18" i="7" l="1"/>
  <c r="I12" i="7"/>
  <c r="F26" i="4"/>
  <c r="F31" i="4"/>
  <c r="F9" i="4"/>
  <c r="G16" i="7" s="1"/>
  <c r="G29" i="7" l="1"/>
  <c r="H29" i="7" s="1"/>
  <c r="C29" i="7"/>
  <c r="G28" i="7"/>
  <c r="H28" i="7" s="1"/>
  <c r="C28" i="7"/>
  <c r="C27" i="7"/>
  <c r="C26" i="7"/>
  <c r="C25" i="7"/>
  <c r="C24" i="7"/>
  <c r="C23" i="7"/>
  <c r="C22" i="7"/>
  <c r="C21" i="7"/>
  <c r="C17" i="7"/>
  <c r="C16" i="7"/>
  <c r="C15" i="7"/>
  <c r="I29" i="7" l="1"/>
  <c r="I28" i="7"/>
  <c r="H20" i="4" l="1"/>
  <c r="F32" i="4" l="1"/>
  <c r="B32" i="4" l="1"/>
  <c r="F20" i="4" l="1"/>
  <c r="G24" i="7" l="1"/>
  <c r="F23" i="4"/>
  <c r="H24" i="7" l="1"/>
  <c r="I24" i="7"/>
  <c r="G27" i="7"/>
  <c r="H23" i="4"/>
  <c r="G15" i="7" l="1"/>
  <c r="H27" i="7"/>
  <c r="I27" i="7"/>
  <c r="F11" i="4"/>
  <c r="F10" i="4" s="1"/>
  <c r="F28" i="4" s="1"/>
  <c r="G17" i="7" l="1"/>
  <c r="H15" i="7"/>
  <c r="I15" i="7"/>
  <c r="F17" i="4"/>
  <c r="E19" i="4"/>
  <c r="F19" i="4" s="1"/>
  <c r="F22" i="4"/>
  <c r="F21" i="4"/>
  <c r="I17" i="7" l="1"/>
  <c r="I31" i="7" s="1"/>
  <c r="I32" i="7" s="1"/>
  <c r="G31" i="7"/>
  <c r="G21" i="7"/>
  <c r="I21" i="7" s="1"/>
  <c r="G22" i="7"/>
  <c r="G25" i="7"/>
  <c r="G26" i="7"/>
  <c r="G23" i="7"/>
  <c r="H17" i="7"/>
  <c r="H31" i="7" s="1"/>
  <c r="H32" i="7" s="1"/>
  <c r="F7" i="4"/>
  <c r="F16" i="4"/>
  <c r="F33" i="4" s="1"/>
  <c r="H25" i="7" l="1"/>
  <c r="I25" i="7"/>
  <c r="H22" i="7"/>
  <c r="I22" i="7"/>
  <c r="H26" i="7"/>
  <c r="I26" i="7"/>
  <c r="H21" i="7"/>
  <c r="H23" i="7"/>
  <c r="I23" i="7"/>
  <c r="H16" i="7"/>
  <c r="I16" i="7"/>
  <c r="G32" i="7"/>
  <c r="F36" i="4"/>
  <c r="F37" i="4" s="1"/>
  <c r="F34" i="4" l="1"/>
</calcChain>
</file>

<file path=xl/sharedStrings.xml><?xml version="1.0" encoding="utf-8"?>
<sst xmlns="http://schemas.openxmlformats.org/spreadsheetml/2006/main" count="74" uniqueCount="73">
  <si>
    <t>Приходно-расходная смета ТСН "Волна"</t>
  </si>
  <si>
    <t>на период май 2021 г.- апрель 2022 г.</t>
  </si>
  <si>
    <t>Расходы   </t>
  </si>
  <si>
    <t>Примечание</t>
  </si>
  <si>
    <t>Кол-во</t>
  </si>
  <si>
    <t>Цена</t>
  </si>
  <si>
    <t>Сумма</t>
  </si>
  <si>
    <t>Ответственный член Правления (ФИО)</t>
  </si>
  <si>
    <t>Расчет УСН</t>
  </si>
  <si>
    <t>Лайшев</t>
  </si>
  <si>
    <t>1. Налоги, пени и штрафы</t>
  </si>
  <si>
    <t>Боев</t>
  </si>
  <si>
    <t xml:space="preserve">1.1. УСН </t>
  </si>
  <si>
    <t>С платежей лиц ведущих садоводство на территории ТСН «Волна», без участия в товариществе</t>
  </si>
  <si>
    <t>Голынкина</t>
  </si>
  <si>
    <t>1.2. Земельный налог -2,3,4 кв 2021+1кв 2022</t>
  </si>
  <si>
    <t xml:space="preserve">Кадастровая стоимость = 12102741 руб.; ставка налога=0,15% </t>
  </si>
  <si>
    <t>Александрова</t>
  </si>
  <si>
    <t>2. Эксплуатация электросетей</t>
  </si>
  <si>
    <t>Алешин</t>
  </si>
  <si>
    <t>Башаров</t>
  </si>
  <si>
    <t>2.1. Уличное освещение</t>
  </si>
  <si>
    <t>Тариф учитывает в себе потери от уличного освещения</t>
  </si>
  <si>
    <t>Константинов</t>
  </si>
  <si>
    <t>2.2. Ремонтные работы</t>
  </si>
  <si>
    <t>3.  Расходы на содержание общих земель</t>
  </si>
  <si>
    <t>3.1.Покос травы в летнее время</t>
  </si>
  <si>
    <t>3.2. Расчистка дорог от снега в зимнеее время</t>
  </si>
  <si>
    <t>4. Административные расходы</t>
  </si>
  <si>
    <t>Батюк</t>
  </si>
  <si>
    <t>4.1. Содержание расчетного счета</t>
  </si>
  <si>
    <t>С мая 2019 г. по апрель 2020 г. Ежемесячное обслуживание 490,00 руб.+заказ справок и документов 6*200,00 руб.</t>
  </si>
  <si>
    <t>Иванова</t>
  </si>
  <si>
    <t>4.2. Транспортные, почтовые расходы и расходы на мобильную связь и канцтовары</t>
  </si>
  <si>
    <t>Поездки в г. Бронницы, г. Раменское, г. Подольск ПАО "МОЭСК" и ПАО "Мосэнергосбыт", ИФНС по г. Домодедово, Администрацию г. Домодедово и т.д., покупка бумаги, картреджей для принтера, отправка почтовых отправлений должникам и государственным структурам</t>
  </si>
  <si>
    <t>4.3. Зарплата председателя  + взносы + выплата по отпуску</t>
  </si>
  <si>
    <t>С мая 2019 г. по апрель 2020 г.</t>
  </si>
  <si>
    <t>4.4. Зарплата бухгалтера + взносы</t>
  </si>
  <si>
    <t>0,76*43*875,93=28625,00 по нормативу; по договору (15 апреля-15 октября)  4496,40*6=26 978,40 рублей</t>
  </si>
  <si>
    <t>4.5 Электронная отчетность</t>
  </si>
  <si>
    <t>С апреля 2020 по март 2021 года</t>
  </si>
  <si>
    <t>4.6. Консультациии юриста</t>
  </si>
  <si>
    <t>4.7. Обслуживание сайта</t>
  </si>
  <si>
    <t>5. Прочие расходы</t>
  </si>
  <si>
    <t>5.1. Государственные пошлины и нотариальные услуги</t>
  </si>
  <si>
    <t>Государственные пошлины при подаче судебных приказов и исковых заявлений</t>
  </si>
  <si>
    <t>5.2. Вывоз мусора</t>
  </si>
  <si>
    <t>Заключение договора по вывозу мусора на 2020 год</t>
  </si>
  <si>
    <t>5.4. Покупка информационного стенда</t>
  </si>
  <si>
    <t>Итого:</t>
  </si>
  <si>
    <t>Доходы   </t>
  </si>
  <si>
    <t>1. От сдачи ЗОП в аренду: уч. 13,28,39,40,41</t>
  </si>
  <si>
    <t>Членский взнос с земельного участка</t>
  </si>
  <si>
    <t>Согласно ФЭО</t>
  </si>
  <si>
    <t>Платеж лиц, ведущих садоводство на территории ТСН «Волна», без участия в товариществе с земельного участка</t>
  </si>
  <si>
    <t>или</t>
  </si>
  <si>
    <t>Членский взнос по количеству собственников</t>
  </si>
  <si>
    <t>Платеж лиц, ведущих садоводство на территории ТСН «Волна», без участия в товариществе по количеству собственников</t>
  </si>
  <si>
    <t>Финансово-экономическое обоснование ТСН "Волна"на период май 2021 г.- апрель 2022 г.</t>
  </si>
  <si>
    <t>Членский взнос и платеж лиц,ведущих садоводство на территории ТСН «Волна», без участия в товариществе с земельного участка на период май 2021 г.-апрель 2022 г.</t>
  </si>
  <si>
    <t>Количество участков садоводов</t>
  </si>
  <si>
    <t>Количество собственников участков</t>
  </si>
  <si>
    <t>План поступлений</t>
  </si>
  <si>
    <t>От сдачи ЗОП в аренду уч. 13,28,39,40,41</t>
  </si>
  <si>
    <t>Расходная часть</t>
  </si>
  <si>
    <t>№</t>
  </si>
  <si>
    <t>Статья расхода</t>
  </si>
  <si>
    <t>Расход</t>
  </si>
  <si>
    <t xml:space="preserve">По количеству участков </t>
  </si>
  <si>
    <t>По количеству собственников</t>
  </si>
  <si>
    <t>Итого минис поступление от аренды:</t>
  </si>
  <si>
    <t>Приложение №4 к Протоколу очередного общего собрания членов ТСН "Волна" №1 от 25.04.2021 г.</t>
  </si>
  <si>
    <t>Приложение №5 к Протоколу очередного общего собрания членов ТСН "Волна" №1 от 25.04.2021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</si>
</sst>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3" borderId="5" xfId="0" applyFill="1" applyBorder="1" applyAlignment="1">
      <alignment horizontal="center" wrapText="1"/>
    </xf>
    <xf numFmtId="0" fontId="0" fillId="0" borderId="5" xfId="0" applyFill="1" applyBorder="1"/>
    <xf numFmtId="4" fontId="0" fillId="0" borderId="5" xfId="0" applyNumberFormat="1" applyBorder="1"/>
    <xf numFmtId="4" fontId="3" fillId="3" borderId="5" xfId="0" applyNumberFormat="1" applyFont="1" applyFill="1" applyBorder="1"/>
    <xf numFmtId="2" fontId="0" fillId="0" borderId="5" xfId="0" applyNumberFormat="1" applyFill="1" applyBorder="1" applyAlignment="1">
      <alignment horizontal="left"/>
    </xf>
    <xf numFmtId="0" fontId="5" fillId="0" borderId="5" xfId="0" applyFont="1" applyFill="1" applyBorder="1" applyAlignment="1">
      <alignment vertical="center" wrapText="1"/>
    </xf>
    <xf numFmtId="0" fontId="0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9" fontId="6" fillId="2" borderId="8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" fontId="6" fillId="0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0" fontId="6" fillId="2" borderId="5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1" fontId="0" fillId="0" borderId="0" xfId="0" applyNumberFormat="1"/>
    <xf numFmtId="2" fontId="0" fillId="4" borderId="0" xfId="0" applyNumberFormat="1" applyFill="1"/>
    <xf numFmtId="0" fontId="0" fillId="4" borderId="0" xfId="0" applyFill="1"/>
    <xf numFmtId="0" fontId="5" fillId="2" borderId="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16" xfId="0" applyBorder="1"/>
    <xf numFmtId="0" fontId="5" fillId="2" borderId="16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5" borderId="0" xfId="0" applyFont="1" applyFill="1" applyAlignment="1">
      <alignment horizontal="right" wrapText="1"/>
    </xf>
    <xf numFmtId="3" fontId="6" fillId="5" borderId="6" xfId="0" applyNumberFormat="1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right" vertical="center" wrapText="1"/>
    </xf>
    <xf numFmtId="3" fontId="6" fillId="5" borderId="12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8"/>
  <sheetViews>
    <sheetView tabSelected="1" topLeftCell="B1" workbookViewId="0">
      <selection activeCell="F1" sqref="F1:G2"/>
    </sheetView>
  </sheetViews>
  <sheetFormatPr defaultRowHeight="14.4" x14ac:dyDescent="0.3"/>
  <cols>
    <col min="3" max="3" width="24.88671875" customWidth="1"/>
    <col min="4" max="4" width="13.109375" customWidth="1"/>
    <col min="5" max="5" width="17.44140625" bestFit="1" customWidth="1"/>
    <col min="6" max="6" width="30.88671875" customWidth="1"/>
    <col min="7" max="7" width="22.33203125" customWidth="1"/>
    <col min="8" max="8" width="74.6640625" hidden="1" customWidth="1"/>
    <col min="9" max="10" width="0" hidden="1" customWidth="1"/>
    <col min="11" max="11" width="14.6640625" hidden="1" customWidth="1"/>
    <col min="12" max="13" width="0" hidden="1" customWidth="1"/>
    <col min="14" max="14" width="18.88671875" customWidth="1"/>
    <col min="16" max="16" width="13.33203125" customWidth="1"/>
  </cols>
  <sheetData>
    <row r="1" spans="2:12" x14ac:dyDescent="0.3">
      <c r="F1" s="116" t="s">
        <v>71</v>
      </c>
      <c r="G1" s="116"/>
    </row>
    <row r="2" spans="2:12" x14ac:dyDescent="0.3">
      <c r="F2" s="116"/>
      <c r="G2" s="116"/>
    </row>
    <row r="3" spans="2:12" x14ac:dyDescent="0.3">
      <c r="B3" s="92" t="s">
        <v>0</v>
      </c>
      <c r="C3" s="92"/>
      <c r="D3" s="92"/>
      <c r="E3" s="92"/>
      <c r="F3" s="92"/>
      <c r="G3" s="67"/>
    </row>
    <row r="4" spans="2:12" x14ac:dyDescent="0.3">
      <c r="B4" s="93" t="s">
        <v>1</v>
      </c>
      <c r="C4" s="93"/>
      <c r="D4" s="93"/>
      <c r="E4" s="93"/>
      <c r="F4" s="93"/>
      <c r="G4" s="1"/>
    </row>
    <row r="5" spans="2:12" ht="15" customHeight="1" x14ac:dyDescent="0.3">
      <c r="B5" s="89" t="s">
        <v>2</v>
      </c>
      <c r="C5" s="90"/>
      <c r="D5" s="90"/>
      <c r="E5" s="90"/>
      <c r="F5" s="90"/>
      <c r="G5" s="9"/>
      <c r="H5" s="10" t="s">
        <v>3</v>
      </c>
    </row>
    <row r="6" spans="2:12" ht="27.6" x14ac:dyDescent="0.3">
      <c r="B6" s="11"/>
      <c r="C6" s="12"/>
      <c r="D6" s="12" t="s">
        <v>4</v>
      </c>
      <c r="E6" s="12" t="s">
        <v>5</v>
      </c>
      <c r="F6" s="13" t="s">
        <v>6</v>
      </c>
      <c r="G6" s="14" t="s">
        <v>7</v>
      </c>
      <c r="H6" s="15"/>
      <c r="K6" t="s">
        <v>8</v>
      </c>
      <c r="L6" s="52">
        <f>SUM(L7:L18)</f>
        <v>2767.3999999999996</v>
      </c>
    </row>
    <row r="7" spans="2:12" x14ac:dyDescent="0.3">
      <c r="B7" s="94" t="s">
        <v>10</v>
      </c>
      <c r="C7" s="95"/>
      <c r="D7" s="16"/>
      <c r="E7" s="37"/>
      <c r="F7" s="34">
        <f>SUM(F8:F9)</f>
        <v>36308.222999999998</v>
      </c>
      <c r="G7" s="17"/>
      <c r="H7" s="15"/>
      <c r="K7" t="s">
        <v>9</v>
      </c>
      <c r="L7" s="53">
        <f>(1521.23+1011.97+270.01+10000)*0.1</f>
        <v>1280.3209999999999</v>
      </c>
    </row>
    <row r="8" spans="2:12" ht="28.8" x14ac:dyDescent="0.3">
      <c r="B8" s="18"/>
      <c r="C8" s="19" t="s">
        <v>12</v>
      </c>
      <c r="D8" s="20">
        <v>0.06</v>
      </c>
      <c r="E8" s="117">
        <v>0</v>
      </c>
      <c r="F8" s="39">
        <f>D8*E8</f>
        <v>0</v>
      </c>
      <c r="G8" s="22"/>
      <c r="H8" s="15" t="s">
        <v>13</v>
      </c>
      <c r="K8" t="s">
        <v>14</v>
      </c>
      <c r="L8" s="54">
        <f>(306.15+531.74+150.16+122.85+73.76+223.14+240+571)*0.1</f>
        <v>221.88</v>
      </c>
    </row>
    <row r="9" spans="2:12" ht="27.6" x14ac:dyDescent="0.3">
      <c r="B9" s="23"/>
      <c r="C9" s="23" t="s">
        <v>15</v>
      </c>
      <c r="D9" s="24">
        <v>3.0000000000000001E-3</v>
      </c>
      <c r="E9" s="40">
        <v>12102741</v>
      </c>
      <c r="F9" s="41">
        <f>E9*D9</f>
        <v>36308.222999999998</v>
      </c>
      <c r="G9" s="22"/>
      <c r="H9" s="15" t="s">
        <v>16</v>
      </c>
      <c r="K9" t="s">
        <v>17</v>
      </c>
      <c r="L9" s="54">
        <f>(968.26+507.78+223.14+310.01)*0.1</f>
        <v>200.91899999999998</v>
      </c>
    </row>
    <row r="10" spans="2:12" ht="28.5" customHeight="1" x14ac:dyDescent="0.3">
      <c r="B10" s="96" t="s">
        <v>18</v>
      </c>
      <c r="C10" s="97"/>
      <c r="D10" s="25"/>
      <c r="E10" s="42"/>
      <c r="F10" s="43">
        <f>SUM(F11:F12)</f>
        <v>7788.9596831999997</v>
      </c>
      <c r="G10" s="26"/>
      <c r="H10" s="15"/>
      <c r="K10" t="s">
        <v>19</v>
      </c>
      <c r="L10" s="54">
        <f>(1218.53+572.54+223.14+310.01)*0.1</f>
        <v>232.42200000000003</v>
      </c>
    </row>
    <row r="11" spans="2:12" ht="28.5" customHeight="1" x14ac:dyDescent="0.3">
      <c r="B11" s="68"/>
      <c r="C11" s="19" t="s">
        <v>21</v>
      </c>
      <c r="D11" s="59">
        <v>1339.8</v>
      </c>
      <c r="E11" s="60">
        <v>3.5743839999999998</v>
      </c>
      <c r="F11" s="61">
        <f>D11*E11</f>
        <v>4788.9596831999997</v>
      </c>
      <c r="G11" s="27"/>
      <c r="H11" s="15" t="s">
        <v>22</v>
      </c>
      <c r="K11" t="s">
        <v>23</v>
      </c>
      <c r="L11" s="54">
        <f>L10</f>
        <v>232.42200000000003</v>
      </c>
    </row>
    <row r="12" spans="2:12" ht="28.5" customHeight="1" x14ac:dyDescent="0.3">
      <c r="B12" s="66"/>
      <c r="C12" s="23" t="s">
        <v>24</v>
      </c>
      <c r="D12" s="59">
        <v>3000</v>
      </c>
      <c r="E12" s="60">
        <v>1</v>
      </c>
      <c r="F12" s="60">
        <v>3000</v>
      </c>
      <c r="G12" s="27"/>
      <c r="H12" s="15"/>
      <c r="K12" t="s">
        <v>20</v>
      </c>
      <c r="L12" s="54">
        <f>(1218.53+286+223.14)*0.1</f>
        <v>172.76700000000002</v>
      </c>
    </row>
    <row r="13" spans="2:12" ht="28.5" customHeight="1" x14ac:dyDescent="0.3">
      <c r="B13" s="101" t="s">
        <v>25</v>
      </c>
      <c r="C13" s="101"/>
      <c r="D13" s="62"/>
      <c r="E13" s="44"/>
      <c r="F13" s="58">
        <f>SUM(F14:F15)</f>
        <v>18000</v>
      </c>
      <c r="G13" s="56"/>
      <c r="H13" s="15"/>
      <c r="L13" s="54"/>
    </row>
    <row r="14" spans="2:12" ht="28.5" customHeight="1" x14ac:dyDescent="0.3">
      <c r="B14" s="63"/>
      <c r="C14" s="64" t="s">
        <v>26</v>
      </c>
      <c r="D14" s="118">
        <v>2</v>
      </c>
      <c r="E14" s="119">
        <v>6000</v>
      </c>
      <c r="F14" s="119">
        <f>E14*D14</f>
        <v>12000</v>
      </c>
      <c r="G14" s="56"/>
      <c r="H14" s="15"/>
      <c r="L14" s="54"/>
    </row>
    <row r="15" spans="2:12" ht="28.5" customHeight="1" x14ac:dyDescent="0.3">
      <c r="B15" s="55"/>
      <c r="C15" s="57" t="s">
        <v>27</v>
      </c>
      <c r="D15" s="120">
        <v>3</v>
      </c>
      <c r="E15" s="121">
        <v>2000</v>
      </c>
      <c r="F15" s="121">
        <f>D15*E15</f>
        <v>6000</v>
      </c>
      <c r="G15" s="56"/>
      <c r="H15" s="15"/>
      <c r="L15" s="54"/>
    </row>
    <row r="16" spans="2:12" ht="42.75" customHeight="1" x14ac:dyDescent="0.3">
      <c r="B16" s="79" t="s">
        <v>28</v>
      </c>
      <c r="C16" s="80"/>
      <c r="D16" s="28"/>
      <c r="E16" s="50"/>
      <c r="F16" s="32">
        <f>SUM(F17:F23)</f>
        <v>192649.2</v>
      </c>
      <c r="G16" s="26"/>
      <c r="H16" s="15"/>
      <c r="K16" t="s">
        <v>29</v>
      </c>
      <c r="L16" s="54">
        <f>(1000)*0.1</f>
        <v>100</v>
      </c>
    </row>
    <row r="17" spans="2:13" ht="28.8" x14ac:dyDescent="0.3">
      <c r="B17" s="11"/>
      <c r="C17" s="11" t="s">
        <v>30</v>
      </c>
      <c r="D17" s="11">
        <v>12</v>
      </c>
      <c r="E17" s="44">
        <f>490+(2610*0.5%*2)+200</f>
        <v>716.1</v>
      </c>
      <c r="F17" s="45">
        <f t="shared" ref="F17:F22" si="0">D17*E17</f>
        <v>8593.2000000000007</v>
      </c>
      <c r="G17" s="27"/>
      <c r="H17" s="15" t="s">
        <v>31</v>
      </c>
      <c r="K17" t="s">
        <v>32</v>
      </c>
      <c r="L17" s="54">
        <f>L16</f>
        <v>100</v>
      </c>
    </row>
    <row r="18" spans="2:13" ht="57.6" x14ac:dyDescent="0.3">
      <c r="B18" s="11"/>
      <c r="C18" s="11" t="s">
        <v>33</v>
      </c>
      <c r="D18" s="11">
        <v>12</v>
      </c>
      <c r="E18" s="46">
        <v>3500</v>
      </c>
      <c r="F18" s="45">
        <f>D18*E18</f>
        <v>42000</v>
      </c>
      <c r="G18" s="27"/>
      <c r="H18" s="15" t="s">
        <v>34</v>
      </c>
      <c r="K18" t="s">
        <v>11</v>
      </c>
      <c r="L18" s="54">
        <f>(1466.69+800)*0.1</f>
        <v>226.66900000000001</v>
      </c>
    </row>
    <row r="19" spans="2:13" ht="43.2" customHeight="1" x14ac:dyDescent="0.3">
      <c r="B19" s="21"/>
      <c r="C19" s="21" t="s">
        <v>35</v>
      </c>
      <c r="D19" s="21">
        <v>14</v>
      </c>
      <c r="E19" s="38">
        <f>3000*1.302</f>
        <v>3906</v>
      </c>
      <c r="F19" s="39">
        <f t="shared" si="0"/>
        <v>54684</v>
      </c>
      <c r="G19" s="27"/>
      <c r="H19" s="15" t="s">
        <v>36</v>
      </c>
    </row>
    <row r="20" spans="2:13" ht="27.6" x14ac:dyDescent="0.3">
      <c r="B20" s="19"/>
      <c r="C20" s="19" t="s">
        <v>37</v>
      </c>
      <c r="D20" s="19">
        <v>12</v>
      </c>
      <c r="E20" s="47">
        <v>3906</v>
      </c>
      <c r="F20" s="39">
        <f t="shared" si="0"/>
        <v>46872</v>
      </c>
      <c r="G20" s="27"/>
      <c r="H20" s="15" t="str">
        <f>H19</f>
        <v>С мая 2019 г. по апрель 2020 г.</v>
      </c>
      <c r="I20" s="76" t="s">
        <v>38</v>
      </c>
      <c r="J20" s="76"/>
      <c r="K20" s="76"/>
      <c r="L20" s="76"/>
      <c r="M20" s="76"/>
    </row>
    <row r="21" spans="2:13" ht="27.6" x14ac:dyDescent="0.3">
      <c r="B21" s="23"/>
      <c r="C21" s="23" t="s">
        <v>39</v>
      </c>
      <c r="D21" s="23">
        <v>1</v>
      </c>
      <c r="E21" s="40">
        <v>8500</v>
      </c>
      <c r="F21" s="49">
        <f t="shared" si="0"/>
        <v>8500</v>
      </c>
      <c r="G21" s="27"/>
      <c r="H21" s="15" t="s">
        <v>40</v>
      </c>
      <c r="I21" s="76"/>
      <c r="J21" s="76"/>
      <c r="K21" s="76"/>
      <c r="L21" s="76"/>
      <c r="M21" s="76"/>
    </row>
    <row r="22" spans="2:13" ht="27.6" x14ac:dyDescent="0.3">
      <c r="B22" s="23"/>
      <c r="C22" s="23" t="s">
        <v>41</v>
      </c>
      <c r="D22" s="23">
        <v>4</v>
      </c>
      <c r="E22" s="40">
        <v>5000</v>
      </c>
      <c r="F22" s="49">
        <f t="shared" si="0"/>
        <v>20000</v>
      </c>
      <c r="G22" s="27"/>
      <c r="H22" s="15"/>
      <c r="I22" s="76"/>
      <c r="J22" s="76"/>
      <c r="K22" s="76"/>
      <c r="L22" s="76"/>
      <c r="M22" s="76"/>
    </row>
    <row r="23" spans="2:13" ht="26.25" customHeight="1" x14ac:dyDescent="0.3">
      <c r="B23" s="19"/>
      <c r="C23" s="19" t="s">
        <v>42</v>
      </c>
      <c r="D23" s="19">
        <v>12</v>
      </c>
      <c r="E23" s="47">
        <v>1000</v>
      </c>
      <c r="F23" s="41">
        <f>D23*E23</f>
        <v>12000</v>
      </c>
      <c r="G23" s="27"/>
      <c r="H23" s="15" t="e">
        <f>#REF!</f>
        <v>#REF!</v>
      </c>
      <c r="I23" s="76"/>
      <c r="J23" s="76"/>
      <c r="K23" s="76"/>
      <c r="L23" s="76"/>
      <c r="M23" s="76"/>
    </row>
    <row r="24" spans="2:13" ht="28.5" customHeight="1" x14ac:dyDescent="0.3">
      <c r="B24" s="81" t="s">
        <v>43</v>
      </c>
      <c r="C24" s="81"/>
      <c r="D24" s="23"/>
      <c r="E24" s="40"/>
      <c r="F24" s="36">
        <f>SUM(F25:F27)</f>
        <v>39941.7068</v>
      </c>
      <c r="G24" s="26"/>
      <c r="H24" s="15"/>
      <c r="I24" s="76"/>
      <c r="J24" s="76"/>
      <c r="K24" s="76"/>
      <c r="L24" s="76"/>
      <c r="M24" s="76"/>
    </row>
    <row r="25" spans="2:13" ht="41.4" x14ac:dyDescent="0.3">
      <c r="B25" s="23"/>
      <c r="C25" s="23" t="s">
        <v>44</v>
      </c>
      <c r="D25" s="23"/>
      <c r="E25" s="40"/>
      <c r="F25" s="48">
        <f>5000</f>
        <v>5000</v>
      </c>
      <c r="G25" s="27"/>
      <c r="H25" s="15" t="s">
        <v>45</v>
      </c>
      <c r="I25" s="76"/>
      <c r="J25" s="76"/>
      <c r="K25" s="76"/>
      <c r="L25" s="76"/>
      <c r="M25" s="76"/>
    </row>
    <row r="26" spans="2:13" x14ac:dyDescent="0.3">
      <c r="B26" s="19"/>
      <c r="C26" s="19" t="s">
        <v>46</v>
      </c>
      <c r="D26" s="19">
        <v>26</v>
      </c>
      <c r="E26" s="47">
        <f>((729.94*1.1*1.2*11)+(761.11*1.1*1.2*15))/26</f>
        <v>987.25795384615401</v>
      </c>
      <c r="F26" s="72">
        <f>D26*E26</f>
        <v>25668.706800000004</v>
      </c>
      <c r="G26" s="27"/>
      <c r="H26" s="15" t="s">
        <v>47</v>
      </c>
      <c r="I26" s="76"/>
      <c r="J26" s="76"/>
      <c r="K26" s="76"/>
      <c r="L26" s="76"/>
      <c r="M26" s="76"/>
    </row>
    <row r="27" spans="2:13" ht="41.4" x14ac:dyDescent="0.3">
      <c r="B27" s="11"/>
      <c r="C27" s="11" t="s">
        <v>48</v>
      </c>
      <c r="D27" s="11">
        <v>1</v>
      </c>
      <c r="E27" s="46">
        <v>9273</v>
      </c>
      <c r="F27" s="71">
        <v>9273</v>
      </c>
      <c r="G27" s="56"/>
      <c r="H27" s="15"/>
      <c r="I27" s="65"/>
      <c r="J27" s="65"/>
      <c r="K27" s="65"/>
      <c r="L27" s="65"/>
      <c r="M27" s="65"/>
    </row>
    <row r="28" spans="2:13" x14ac:dyDescent="0.3">
      <c r="B28" s="79" t="s">
        <v>49</v>
      </c>
      <c r="C28" s="80"/>
      <c r="D28" s="28"/>
      <c r="E28" s="28"/>
      <c r="F28" s="32">
        <f>F7+F10+F13+F16+F24</f>
        <v>294688.08948319999</v>
      </c>
      <c r="G28" s="17"/>
      <c r="H28" s="15"/>
    </row>
    <row r="29" spans="2:13" x14ac:dyDescent="0.3">
      <c r="B29" s="86"/>
      <c r="C29" s="87"/>
      <c r="D29" s="87"/>
      <c r="E29" s="87"/>
      <c r="F29" s="88"/>
      <c r="G29" s="29"/>
      <c r="H29" s="10"/>
    </row>
    <row r="30" spans="2:13" ht="15" customHeight="1" x14ac:dyDescent="0.3">
      <c r="B30" s="89" t="s">
        <v>50</v>
      </c>
      <c r="C30" s="90"/>
      <c r="D30" s="90"/>
      <c r="E30" s="90"/>
      <c r="F30" s="91"/>
      <c r="G30" s="30"/>
      <c r="H30" s="10"/>
    </row>
    <row r="31" spans="2:13" x14ac:dyDescent="0.3">
      <c r="B31" s="98" t="s">
        <v>51</v>
      </c>
      <c r="C31" s="99"/>
      <c r="D31" s="99"/>
      <c r="E31" s="100"/>
      <c r="F31" s="51">
        <f>36308/6300*(70+360+365+168+92)*1.1</f>
        <v>6688.1641269841275</v>
      </c>
      <c r="G31" s="29"/>
      <c r="H31" s="10"/>
    </row>
    <row r="32" spans="2:13" x14ac:dyDescent="0.3">
      <c r="B32" s="84" t="str">
        <f>B28</f>
        <v>Итого:</v>
      </c>
      <c r="C32" s="85"/>
      <c r="D32" s="13"/>
      <c r="E32" s="12"/>
      <c r="F32" s="33">
        <f>F31</f>
        <v>6688.1641269841275</v>
      </c>
      <c r="G32" s="29"/>
      <c r="H32" s="10"/>
    </row>
    <row r="33" spans="2:8" ht="45" customHeight="1" x14ac:dyDescent="0.3">
      <c r="B33" s="89" t="s">
        <v>52</v>
      </c>
      <c r="C33" s="91"/>
      <c r="D33" s="16"/>
      <c r="E33" s="16"/>
      <c r="F33" s="34">
        <f>(F28-F32)/48</f>
        <v>5999.9984449211634</v>
      </c>
      <c r="G33" s="77" t="s">
        <v>53</v>
      </c>
      <c r="H33" s="10"/>
    </row>
    <row r="34" spans="2:8" ht="75.75" customHeight="1" x14ac:dyDescent="0.3">
      <c r="B34" s="82" t="s">
        <v>54</v>
      </c>
      <c r="C34" s="83"/>
      <c r="D34" s="31"/>
      <c r="E34" s="31"/>
      <c r="F34" s="35">
        <f>F33</f>
        <v>5999.9984449211634</v>
      </c>
      <c r="G34" s="77"/>
      <c r="H34" s="10"/>
    </row>
    <row r="35" spans="2:8" ht="40.5" customHeight="1" x14ac:dyDescent="0.3">
      <c r="B35" s="78" t="s">
        <v>55</v>
      </c>
      <c r="C35" s="78"/>
      <c r="D35" s="78"/>
      <c r="E35" s="78"/>
      <c r="F35" s="78"/>
      <c r="G35" s="77"/>
      <c r="H35" s="10"/>
    </row>
    <row r="36" spans="2:8" ht="45" customHeight="1" x14ac:dyDescent="0.3">
      <c r="B36" s="74" t="s">
        <v>56</v>
      </c>
      <c r="C36" s="75"/>
      <c r="D36" s="66"/>
      <c r="E36" s="66"/>
      <c r="F36" s="36">
        <f>(F28-F31)/43</f>
        <v>6697.6726827026941</v>
      </c>
      <c r="G36" s="77"/>
      <c r="H36" s="10"/>
    </row>
    <row r="37" spans="2:8" ht="79.5" customHeight="1" x14ac:dyDescent="0.3">
      <c r="B37" s="74" t="s">
        <v>57</v>
      </c>
      <c r="C37" s="75"/>
      <c r="D37" s="66"/>
      <c r="E37" s="66"/>
      <c r="F37" s="36">
        <f>F36</f>
        <v>6697.6726827026941</v>
      </c>
      <c r="G37" s="77"/>
      <c r="H37" s="10"/>
    </row>
    <row r="38" spans="2:8" x14ac:dyDescent="0.3">
      <c r="B38" s="10"/>
      <c r="C38" s="10"/>
      <c r="D38" s="10"/>
      <c r="E38" s="10"/>
      <c r="F38" s="10"/>
      <c r="G38" s="10"/>
      <c r="H38" s="10"/>
    </row>
  </sheetData>
  <mergeCells count="21">
    <mergeCell ref="F1:G2"/>
    <mergeCell ref="B28:C28"/>
    <mergeCell ref="B16:C16"/>
    <mergeCell ref="B24:C24"/>
    <mergeCell ref="B34:C34"/>
    <mergeCell ref="B32:C32"/>
    <mergeCell ref="B29:F29"/>
    <mergeCell ref="B30:F30"/>
    <mergeCell ref="B3:F3"/>
    <mergeCell ref="B4:F4"/>
    <mergeCell ref="B5:F5"/>
    <mergeCell ref="B7:C7"/>
    <mergeCell ref="B10:C10"/>
    <mergeCell ref="B31:E31"/>
    <mergeCell ref="B33:C33"/>
    <mergeCell ref="B13:C13"/>
    <mergeCell ref="B36:C36"/>
    <mergeCell ref="B37:C37"/>
    <mergeCell ref="I20:M26"/>
    <mergeCell ref="G33:G37"/>
    <mergeCell ref="B35:F3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2"/>
  <sheetViews>
    <sheetView topLeftCell="A15" workbookViewId="0">
      <selection activeCell="F39" sqref="F39"/>
    </sheetView>
  </sheetViews>
  <sheetFormatPr defaultRowHeight="14.4" x14ac:dyDescent="0.3"/>
  <cols>
    <col min="2" max="2" width="5" customWidth="1"/>
    <col min="5" max="5" width="19" customWidth="1"/>
    <col min="6" max="6" width="21.5546875" customWidth="1"/>
    <col min="7" max="7" width="11.109375" customWidth="1"/>
    <col min="8" max="8" width="14.44140625" customWidth="1"/>
    <col min="9" max="9" width="14.6640625" customWidth="1"/>
  </cols>
  <sheetData>
    <row r="1" spans="2:10" x14ac:dyDescent="0.3">
      <c r="F1" s="116" t="s">
        <v>72</v>
      </c>
      <c r="G1" s="116"/>
      <c r="H1" s="116"/>
      <c r="I1" s="116"/>
    </row>
    <row r="2" spans="2:10" x14ac:dyDescent="0.3">
      <c r="F2" s="116"/>
      <c r="G2" s="116"/>
      <c r="H2" s="116"/>
      <c r="I2" s="116"/>
    </row>
    <row r="4" spans="2:10" x14ac:dyDescent="0.3">
      <c r="B4" s="112" t="s">
        <v>58</v>
      </c>
      <c r="C4" s="112"/>
      <c r="D4" s="112"/>
      <c r="E4" s="112"/>
      <c r="F4" s="112"/>
      <c r="G4" s="112"/>
      <c r="H4" s="112"/>
      <c r="I4" s="112"/>
    </row>
    <row r="5" spans="2:10" x14ac:dyDescent="0.3">
      <c r="B5" s="70"/>
      <c r="C5" s="70"/>
      <c r="D5" s="70"/>
      <c r="E5" s="70"/>
      <c r="F5" s="70"/>
      <c r="G5" s="70"/>
      <c r="H5" s="70"/>
      <c r="I5" s="70"/>
    </row>
    <row r="6" spans="2:10" ht="30.75" customHeight="1" x14ac:dyDescent="0.3">
      <c r="B6" s="113" t="s">
        <v>59</v>
      </c>
      <c r="C6" s="114"/>
      <c r="D6" s="114"/>
      <c r="E6" s="114"/>
      <c r="F6" s="114"/>
      <c r="G6" s="114"/>
      <c r="H6" s="114"/>
      <c r="I6" s="114"/>
    </row>
    <row r="8" spans="2:10" x14ac:dyDescent="0.3">
      <c r="B8" s="103" t="s">
        <v>60</v>
      </c>
      <c r="C8" s="103"/>
      <c r="D8" s="103"/>
      <c r="E8" s="103"/>
      <c r="F8" s="2">
        <v>48</v>
      </c>
    </row>
    <row r="9" spans="2:10" x14ac:dyDescent="0.3">
      <c r="B9" s="103" t="s">
        <v>61</v>
      </c>
      <c r="C9" s="103"/>
      <c r="D9" s="103"/>
      <c r="E9" s="103"/>
      <c r="F9" s="5">
        <v>43</v>
      </c>
    </row>
    <row r="11" spans="2:10" x14ac:dyDescent="0.3">
      <c r="B11" s="115" t="s">
        <v>62</v>
      </c>
      <c r="C11" s="115"/>
      <c r="D11" s="115"/>
      <c r="E11" s="115"/>
      <c r="F11" s="115"/>
      <c r="G11" s="115"/>
      <c r="H11" s="115"/>
      <c r="I11" s="115"/>
    </row>
    <row r="12" spans="2:10" x14ac:dyDescent="0.3">
      <c r="B12" s="2">
        <v>1</v>
      </c>
      <c r="C12" s="103" t="s">
        <v>63</v>
      </c>
      <c r="D12" s="103"/>
      <c r="E12" s="103"/>
      <c r="F12" s="103"/>
      <c r="G12" s="103"/>
      <c r="H12" s="103"/>
      <c r="I12" s="8">
        <f>36308/6300*(92+70+365+360+168)*1.1</f>
        <v>6688.1641269841275</v>
      </c>
      <c r="J12" s="3"/>
    </row>
    <row r="13" spans="2:10" x14ac:dyDescent="0.3">
      <c r="B13" s="111" t="s">
        <v>64</v>
      </c>
      <c r="C13" s="111"/>
      <c r="D13" s="111"/>
      <c r="E13" s="111"/>
      <c r="F13" s="111"/>
      <c r="G13" s="111"/>
      <c r="H13" s="111"/>
      <c r="I13" s="111"/>
    </row>
    <row r="14" spans="2:10" ht="27" customHeight="1" x14ac:dyDescent="0.3">
      <c r="B14" s="69" t="s">
        <v>65</v>
      </c>
      <c r="C14" s="102" t="s">
        <v>66</v>
      </c>
      <c r="D14" s="102"/>
      <c r="E14" s="102"/>
      <c r="F14" s="102"/>
      <c r="G14" s="69" t="s">
        <v>67</v>
      </c>
      <c r="H14" s="4" t="s">
        <v>68</v>
      </c>
      <c r="I14" s="4" t="s">
        <v>69</v>
      </c>
    </row>
    <row r="15" spans="2:10" x14ac:dyDescent="0.3">
      <c r="B15" s="2">
        <v>1</v>
      </c>
      <c r="C15" s="103" t="str">
        <f>'Смета принятая'!C8</f>
        <v xml:space="preserve">1.1. УСН </v>
      </c>
      <c r="D15" s="103"/>
      <c r="E15" s="103"/>
      <c r="F15" s="103"/>
      <c r="G15" s="6">
        <f>'Смета принятая'!F8+0.3</f>
        <v>0.3</v>
      </c>
      <c r="H15" s="6">
        <f>G15/F8</f>
        <v>6.2499999999999995E-3</v>
      </c>
      <c r="I15" s="6">
        <f>G15/F9</f>
        <v>6.9767441860465115E-3</v>
      </c>
    </row>
    <row r="16" spans="2:10" x14ac:dyDescent="0.3">
      <c r="B16" s="2">
        <v>2</v>
      </c>
      <c r="C16" s="103" t="str">
        <f>'Смета принятая'!C9</f>
        <v>1.2. Земельный налог -2,3,4 кв 2021+1кв 2022</v>
      </c>
      <c r="D16" s="103"/>
      <c r="E16" s="103"/>
      <c r="F16" s="103"/>
      <c r="G16" s="6">
        <f>'Смета принятая'!F9-0.22</f>
        <v>36308.002999999997</v>
      </c>
      <c r="H16" s="6">
        <f>G16/F8</f>
        <v>756.41672916666664</v>
      </c>
      <c r="I16" s="6">
        <f>G16/F9</f>
        <v>844.37216279069764</v>
      </c>
    </row>
    <row r="17" spans="2:9" x14ac:dyDescent="0.3">
      <c r="B17" s="2">
        <v>3</v>
      </c>
      <c r="C17" s="103" t="str">
        <f>'Смета принятая'!C11</f>
        <v>2.1. Уличное освещение</v>
      </c>
      <c r="D17" s="103"/>
      <c r="E17" s="103"/>
      <c r="F17" s="103"/>
      <c r="G17" s="6">
        <f>'Смета принятая'!F11</f>
        <v>4788.9596831999997</v>
      </c>
      <c r="H17" s="6">
        <f>G17/F8</f>
        <v>99.76999339999999</v>
      </c>
      <c r="I17" s="6">
        <f>G17/F9</f>
        <v>111.37115542325581</v>
      </c>
    </row>
    <row r="18" spans="2:9" x14ac:dyDescent="0.3">
      <c r="B18" s="2">
        <v>4</v>
      </c>
      <c r="C18" s="104" t="str">
        <f>'Смета принятая'!C12</f>
        <v>2.2. Ремонтные работы</v>
      </c>
      <c r="D18" s="105"/>
      <c r="E18" s="105"/>
      <c r="F18" s="106"/>
      <c r="G18" s="6">
        <f>'Смета принятая'!F12</f>
        <v>3000</v>
      </c>
      <c r="H18" s="6">
        <f>G18/F8</f>
        <v>62.5</v>
      </c>
      <c r="I18" s="6">
        <f>G18/F9</f>
        <v>69.767441860465112</v>
      </c>
    </row>
    <row r="19" spans="2:9" x14ac:dyDescent="0.3">
      <c r="B19" s="2">
        <v>5</v>
      </c>
      <c r="C19" s="104" t="str">
        <f>'Смета принятая'!C14</f>
        <v>3.1.Покос травы в летнее время</v>
      </c>
      <c r="D19" s="105"/>
      <c r="E19" s="105"/>
      <c r="F19" s="106"/>
      <c r="G19" s="6">
        <f>'Смета принятая'!F14</f>
        <v>12000</v>
      </c>
      <c r="H19" s="6">
        <f>G19/F8</f>
        <v>250</v>
      </c>
      <c r="I19" s="6">
        <f>G19/F9</f>
        <v>279.06976744186045</v>
      </c>
    </row>
    <row r="20" spans="2:9" x14ac:dyDescent="0.3">
      <c r="B20" s="2">
        <v>6</v>
      </c>
      <c r="C20" s="104" t="str">
        <f>'Смета принятая'!C15</f>
        <v>3.2. Расчистка дорог от снега в зимнеее время</v>
      </c>
      <c r="D20" s="105"/>
      <c r="E20" s="105"/>
      <c r="F20" s="106"/>
      <c r="G20" s="6">
        <f>'Смета принятая'!F15</f>
        <v>6000</v>
      </c>
      <c r="H20" s="6">
        <f>G20/F8</f>
        <v>125</v>
      </c>
      <c r="I20" s="6">
        <f>G20/F9</f>
        <v>139.53488372093022</v>
      </c>
    </row>
    <row r="21" spans="2:9" x14ac:dyDescent="0.3">
      <c r="B21" s="2">
        <v>7</v>
      </c>
      <c r="C21" s="103" t="str">
        <f>'Смета принятая'!C17</f>
        <v>4.1. Содержание расчетного счета</v>
      </c>
      <c r="D21" s="103"/>
      <c r="E21" s="103"/>
      <c r="F21" s="103"/>
      <c r="G21" s="6">
        <f>'Смета принятая'!F17</f>
        <v>8593.2000000000007</v>
      </c>
      <c r="H21" s="6">
        <f>G21/F8</f>
        <v>179.02500000000001</v>
      </c>
      <c r="I21" s="6">
        <f>G21/F9</f>
        <v>199.8418604651163</v>
      </c>
    </row>
    <row r="22" spans="2:9" ht="30.75" customHeight="1" x14ac:dyDescent="0.3">
      <c r="B22" s="2">
        <v>8</v>
      </c>
      <c r="C22" s="110" t="str">
        <f>'Смета принятая'!C18</f>
        <v>4.2. Транспортные, почтовые расходы и расходы на мобильную связь и канцтовары</v>
      </c>
      <c r="D22" s="110"/>
      <c r="E22" s="110"/>
      <c r="F22" s="110"/>
      <c r="G22" s="6">
        <f>'Смета принятая'!F18</f>
        <v>42000</v>
      </c>
      <c r="H22" s="6">
        <f>G22/F8</f>
        <v>875</v>
      </c>
      <c r="I22" s="6">
        <f>G22/F9</f>
        <v>976.74418604651157</v>
      </c>
    </row>
    <row r="23" spans="2:9" x14ac:dyDescent="0.3">
      <c r="B23" s="2">
        <v>9</v>
      </c>
      <c r="C23" s="103" t="str">
        <f>'Смета принятая'!C19</f>
        <v>4.3. Зарплата председателя  + взносы + выплата по отпуску</v>
      </c>
      <c r="D23" s="103"/>
      <c r="E23" s="103"/>
      <c r="F23" s="103"/>
      <c r="G23" s="6">
        <f>'Смета принятая'!F19</f>
        <v>54684</v>
      </c>
      <c r="H23" s="6">
        <f>G23/F8</f>
        <v>1139.25</v>
      </c>
      <c r="I23" s="6">
        <f>G23/F9</f>
        <v>1271.7209302325582</v>
      </c>
    </row>
    <row r="24" spans="2:9" x14ac:dyDescent="0.3">
      <c r="B24" s="2">
        <v>10</v>
      </c>
      <c r="C24" s="103" t="str">
        <f>'Смета принятая'!C20</f>
        <v>4.4. Зарплата бухгалтера + взносы</v>
      </c>
      <c r="D24" s="103"/>
      <c r="E24" s="103"/>
      <c r="F24" s="103"/>
      <c r="G24" s="6">
        <f>'Смета принятая'!F20</f>
        <v>46872</v>
      </c>
      <c r="H24" s="6">
        <f>G24/F8</f>
        <v>976.5</v>
      </c>
      <c r="I24" s="6">
        <f>G24/F9</f>
        <v>1090.046511627907</v>
      </c>
    </row>
    <row r="25" spans="2:9" x14ac:dyDescent="0.3">
      <c r="B25" s="2">
        <v>11</v>
      </c>
      <c r="C25" s="103" t="str">
        <f>'Смета принятая'!C21</f>
        <v>4.5 Электронная отчетность</v>
      </c>
      <c r="D25" s="103"/>
      <c r="E25" s="103"/>
      <c r="F25" s="103"/>
      <c r="G25" s="6">
        <f>'Смета принятая'!F21</f>
        <v>8500</v>
      </c>
      <c r="H25" s="6">
        <f>G25/F8</f>
        <v>177.08333333333334</v>
      </c>
      <c r="I25" s="6">
        <f>G25/F9</f>
        <v>197.67441860465115</v>
      </c>
    </row>
    <row r="26" spans="2:9" x14ac:dyDescent="0.3">
      <c r="B26" s="2">
        <v>12</v>
      </c>
      <c r="C26" s="103" t="str">
        <f>'Смета принятая'!C22</f>
        <v>4.6. Консультациии юриста</v>
      </c>
      <c r="D26" s="103"/>
      <c r="E26" s="103"/>
      <c r="F26" s="103"/>
      <c r="G26" s="6">
        <f>'Смета принятая'!F22</f>
        <v>20000</v>
      </c>
      <c r="H26" s="6">
        <f>G26/F8</f>
        <v>416.66666666666669</v>
      </c>
      <c r="I26" s="6">
        <f>G26/F9</f>
        <v>465.11627906976742</v>
      </c>
    </row>
    <row r="27" spans="2:9" x14ac:dyDescent="0.3">
      <c r="B27" s="2">
        <v>13</v>
      </c>
      <c r="C27" s="103" t="str">
        <f>'Смета принятая'!C23</f>
        <v>4.7. Обслуживание сайта</v>
      </c>
      <c r="D27" s="103"/>
      <c r="E27" s="103"/>
      <c r="F27" s="103"/>
      <c r="G27" s="6">
        <f>'Смета принятая'!F23</f>
        <v>12000</v>
      </c>
      <c r="H27" s="6">
        <f>G27/F8</f>
        <v>250</v>
      </c>
      <c r="I27" s="6">
        <f>G27/F9</f>
        <v>279.06976744186045</v>
      </c>
    </row>
    <row r="28" spans="2:9" x14ac:dyDescent="0.3">
      <c r="B28" s="2">
        <v>14</v>
      </c>
      <c r="C28" s="103" t="str">
        <f>'Смета принятая'!C25</f>
        <v>5.1. Государственные пошлины и нотариальные услуги</v>
      </c>
      <c r="D28" s="103"/>
      <c r="E28" s="103"/>
      <c r="F28" s="103"/>
      <c r="G28" s="6">
        <f>'Смета принятая'!F25</f>
        <v>5000</v>
      </c>
      <c r="H28" s="6">
        <f>G28/F8</f>
        <v>104.16666666666667</v>
      </c>
      <c r="I28" s="6">
        <f>G28/F9</f>
        <v>116.27906976744185</v>
      </c>
    </row>
    <row r="29" spans="2:9" x14ac:dyDescent="0.3">
      <c r="B29" s="2">
        <v>15</v>
      </c>
      <c r="C29" s="103" t="str">
        <f>'Смета принятая'!C26</f>
        <v>5.2. Вывоз мусора</v>
      </c>
      <c r="D29" s="103"/>
      <c r="E29" s="103"/>
      <c r="F29" s="103"/>
      <c r="G29" s="6">
        <f>'Смета принятая'!F26</f>
        <v>25668.706800000004</v>
      </c>
      <c r="H29" s="6">
        <f>G29/F8</f>
        <v>534.76472500000011</v>
      </c>
      <c r="I29" s="6">
        <f>G29/F9</f>
        <v>596.9466697674419</v>
      </c>
    </row>
    <row r="30" spans="2:9" x14ac:dyDescent="0.3">
      <c r="B30" s="73">
        <v>16</v>
      </c>
      <c r="C30" s="105" t="str">
        <f>'Смета принятая'!C27</f>
        <v>5.4. Покупка информационного стенда</v>
      </c>
      <c r="D30" s="105"/>
      <c r="E30" s="105"/>
      <c r="F30" s="106"/>
      <c r="G30" s="6">
        <f>'Смета принятая'!E27</f>
        <v>9273</v>
      </c>
      <c r="H30" s="6">
        <f>G30/F8</f>
        <v>193.1875</v>
      </c>
      <c r="I30" s="6">
        <f>G30/F9</f>
        <v>215.65116279069767</v>
      </c>
    </row>
    <row r="31" spans="2:9" x14ac:dyDescent="0.3">
      <c r="B31" s="107" t="s">
        <v>49</v>
      </c>
      <c r="C31" s="108"/>
      <c r="D31" s="108"/>
      <c r="E31" s="108"/>
      <c r="F31" s="109"/>
      <c r="G31" s="7">
        <f>SUM(G15:G30)</f>
        <v>294688.16948320001</v>
      </c>
      <c r="H31" s="7">
        <f>SUM(H15:H30)</f>
        <v>6139.3368642333335</v>
      </c>
      <c r="I31" s="7">
        <f>SUM(I15:I30)</f>
        <v>6853.2132437953478</v>
      </c>
    </row>
    <row r="32" spans="2:9" x14ac:dyDescent="0.3">
      <c r="B32" s="107" t="s">
        <v>70</v>
      </c>
      <c r="C32" s="108"/>
      <c r="D32" s="108"/>
      <c r="E32" s="108"/>
      <c r="F32" s="109"/>
      <c r="G32" s="7">
        <f>G31-I12</f>
        <v>288000.00535621587</v>
      </c>
      <c r="H32" s="7">
        <f>H31-I12/48</f>
        <v>6000.0001115878313</v>
      </c>
      <c r="I32" s="7">
        <f>I31-I12/43</f>
        <v>6697.67454316781</v>
      </c>
    </row>
  </sheetData>
  <mergeCells count="27">
    <mergeCell ref="C21:F21"/>
    <mergeCell ref="C22:F22"/>
    <mergeCell ref="C23:F23"/>
    <mergeCell ref="C24:F24"/>
    <mergeCell ref="B13:I13"/>
    <mergeCell ref="C18:F18"/>
    <mergeCell ref="C15:F15"/>
    <mergeCell ref="C16:F16"/>
    <mergeCell ref="C17:F17"/>
    <mergeCell ref="B32:F32"/>
    <mergeCell ref="C25:F25"/>
    <mergeCell ref="C26:F26"/>
    <mergeCell ref="C27:F27"/>
    <mergeCell ref="C28:F28"/>
    <mergeCell ref="C29:F29"/>
    <mergeCell ref="B31:F31"/>
    <mergeCell ref="C30:F30"/>
    <mergeCell ref="C14:F14"/>
    <mergeCell ref="C12:H12"/>
    <mergeCell ref="C19:F19"/>
    <mergeCell ref="C20:F20"/>
    <mergeCell ref="F1:I2"/>
    <mergeCell ref="B4:I4"/>
    <mergeCell ref="B6:I6"/>
    <mergeCell ref="B8:E8"/>
    <mergeCell ref="B9:E9"/>
    <mergeCell ref="B11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принятая</vt:lpstr>
      <vt:lpstr>ФЭО принятый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2021-04-10T15:12:42Z</dcterms:modified>
  <cp:category/>
  <cp:contentStatus/>
</cp:coreProperties>
</file>